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 activeTab="1"/>
  </bookViews>
  <sheets>
    <sheet name="P-C" sheetId="3" r:id="rId1"/>
    <sheet name="phosphorus" sheetId="1" r:id="rId2"/>
    <sheet name="carbon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2" i="1" l="1"/>
  <c r="A21" i="1"/>
  <c r="A20" i="1"/>
  <c r="A19" i="1"/>
  <c r="A18" i="1"/>
  <c r="A17" i="1"/>
  <c r="A16" i="1"/>
  <c r="D22" i="1"/>
  <c r="D21" i="1"/>
  <c r="D20" i="1"/>
  <c r="D19" i="1"/>
  <c r="D18" i="1"/>
  <c r="D17" i="1"/>
  <c r="D16" i="1"/>
  <c r="C17" i="3"/>
  <c r="C16" i="3"/>
  <c r="B20" i="3"/>
  <c r="B22" i="3"/>
  <c r="B21" i="3"/>
  <c r="B19" i="3"/>
  <c r="B18" i="3"/>
  <c r="B17" i="3"/>
  <c r="B16" i="3"/>
  <c r="B1" i="3"/>
  <c r="B5" i="3"/>
  <c r="F4" i="3"/>
  <c r="B10" i="3"/>
  <c r="B11" i="3"/>
  <c r="C10" i="3"/>
  <c r="B7" i="3"/>
  <c r="B6" i="3"/>
  <c r="F5" i="2"/>
  <c r="F6" i="2"/>
  <c r="F7" i="2"/>
  <c r="F8" i="2"/>
  <c r="F4" i="2"/>
  <c r="C4" i="2"/>
  <c r="C5" i="2"/>
  <c r="C6" i="2"/>
  <c r="C3" i="2"/>
  <c r="F4" i="1"/>
  <c r="B1" i="1"/>
  <c r="B5" i="1"/>
  <c r="B10" i="1"/>
  <c r="B11" i="1"/>
  <c r="C10" i="1"/>
  <c r="B6" i="1"/>
  <c r="B7" i="1"/>
</calcChain>
</file>

<file path=xl/sharedStrings.xml><?xml version="1.0" encoding="utf-8"?>
<sst xmlns="http://schemas.openxmlformats.org/spreadsheetml/2006/main" count="54" uniqueCount="22">
  <si>
    <t>G</t>
  </si>
  <si>
    <t>T</t>
  </si>
  <si>
    <t>R</t>
  </si>
  <si>
    <t>xbar</t>
  </si>
  <si>
    <t>w_P</t>
  </si>
  <si>
    <t>exp</t>
  </si>
  <si>
    <t>rhs</t>
  </si>
  <si>
    <t>x_b</t>
  </si>
  <si>
    <t>t</t>
  </si>
  <si>
    <t>L</t>
  </si>
  <si>
    <t>lhs</t>
  </si>
  <si>
    <t xml:space="preserve">L=10 µm </t>
  </si>
  <si>
    <t>2t/L</t>
  </si>
  <si>
    <t>x_b=0.1</t>
  </si>
  <si>
    <t>T / K</t>
  </si>
  <si>
    <t xml:space="preserve">L=30 µm </t>
  </si>
  <si>
    <t>t=0.5 nm</t>
  </si>
  <si>
    <t>w_P_b</t>
  </si>
  <si>
    <t>x</t>
  </si>
  <si>
    <t>y</t>
  </si>
  <si>
    <t>ONLY HALF BOUNDARY SITES AVAILABLE</t>
  </si>
  <si>
    <t>w_P_b*2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</si>
</sst>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2"/>
          <c:order val="0"/>
          <c:tx>
            <c:v>10 µm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'P-C'!$A$16:$A$22</c:f>
              <c:numCache>
                <c:formatCode>General</c:formatCode>
                <c:ptCount val="7"/>
                <c:pt idx="0">
                  <c:v>300.0</c:v>
                </c:pt>
                <c:pt idx="1">
                  <c:v>400.0</c:v>
                </c:pt>
                <c:pt idx="2">
                  <c:v>500.0</c:v>
                </c:pt>
                <c:pt idx="3">
                  <c:v>600.0</c:v>
                </c:pt>
                <c:pt idx="4">
                  <c:v>700.0</c:v>
                </c:pt>
                <c:pt idx="5">
                  <c:v>800.0</c:v>
                </c:pt>
                <c:pt idx="6">
                  <c:v>900.0</c:v>
                </c:pt>
              </c:numCache>
            </c:numRef>
          </c:xVal>
          <c:yVal>
            <c:numRef>
              <c:f>'P-C'!$B$16:$B$22</c:f>
              <c:numCache>
                <c:formatCode>0.00E+00</c:formatCode>
                <c:ptCount val="7"/>
                <c:pt idx="0">
                  <c:v>0.000112</c:v>
                </c:pt>
                <c:pt idx="1">
                  <c:v>0.0001418</c:v>
                </c:pt>
                <c:pt idx="2">
                  <c:v>0.000354</c:v>
                </c:pt>
                <c:pt idx="3">
                  <c:v>0.00107</c:v>
                </c:pt>
                <c:pt idx="4">
                  <c:v>0.00268</c:v>
                </c:pt>
                <c:pt idx="5">
                  <c:v>0.00546</c:v>
                </c:pt>
                <c:pt idx="6">
                  <c:v>0.0096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293528"/>
        <c:axId val="2083675128"/>
      </c:scatterChart>
      <c:valAx>
        <c:axId val="2084293528"/>
        <c:scaling>
          <c:orientation val="minMax"/>
          <c:max val="900.0"/>
          <c:min val="3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K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83675128"/>
        <c:crossesAt val="1.0E-5"/>
        <c:crossBetween val="midCat"/>
        <c:majorUnit val="100.0"/>
        <c:minorUnit val="100.0"/>
      </c:valAx>
      <c:valAx>
        <c:axId val="2083675128"/>
        <c:scaling>
          <c:logBase val="10.0"/>
          <c:orientation val="minMax"/>
          <c:max val="0.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Permitted</a:t>
                </a:r>
                <a:r>
                  <a:rPr lang="en-US" baseline="0"/>
                  <a:t> phosphorus / wt%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3508301107332"/>
              <c:y val="0.0394031533647793"/>
            </c:manualLayout>
          </c:layout>
          <c:overlay val="0"/>
        </c:title>
        <c:numFmt formatCode="0.E+0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84293528"/>
        <c:crosses val="autoZero"/>
        <c:crossBetween val="midCat"/>
        <c:majorUnit val="10.0"/>
        <c:minorUnit val="10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2"/>
          <c:order val="0"/>
          <c:tx>
            <c:v>10 µm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phosphorus!$A$16:$A$22</c:f>
              <c:numCache>
                <c:formatCode>General</c:formatCode>
                <c:ptCount val="7"/>
                <c:pt idx="0">
                  <c:v>27.0</c:v>
                </c:pt>
                <c:pt idx="1">
                  <c:v>127.0</c:v>
                </c:pt>
                <c:pt idx="2">
                  <c:v>227.0</c:v>
                </c:pt>
                <c:pt idx="3">
                  <c:v>327.0</c:v>
                </c:pt>
                <c:pt idx="4">
                  <c:v>427.0</c:v>
                </c:pt>
                <c:pt idx="5">
                  <c:v>527.0</c:v>
                </c:pt>
                <c:pt idx="6">
                  <c:v>627.0</c:v>
                </c:pt>
              </c:numCache>
            </c:numRef>
          </c:xVal>
          <c:yVal>
            <c:numRef>
              <c:f>phosphorus!$B$16:$B$22</c:f>
              <c:numCache>
                <c:formatCode>0.00E+00</c:formatCode>
                <c:ptCount val="7"/>
                <c:pt idx="0">
                  <c:v>5.6E-5</c:v>
                </c:pt>
                <c:pt idx="1">
                  <c:v>7.09E-5</c:v>
                </c:pt>
                <c:pt idx="2">
                  <c:v>0.000177</c:v>
                </c:pt>
                <c:pt idx="3">
                  <c:v>0.000535</c:v>
                </c:pt>
                <c:pt idx="4">
                  <c:v>0.00134</c:v>
                </c:pt>
                <c:pt idx="5">
                  <c:v>0.00273</c:v>
                </c:pt>
                <c:pt idx="6">
                  <c:v>0.0048</c:v>
                </c:pt>
              </c:numCache>
            </c:numRef>
          </c:yVal>
          <c:smooth val="0"/>
        </c:ser>
        <c:ser>
          <c:idx val="0"/>
          <c:order val="1"/>
          <c:tx>
            <c:v>30 µm</c:v>
          </c:tx>
          <c:marker>
            <c:symbol val="none"/>
          </c:marker>
          <c:xVal>
            <c:numRef>
              <c:f>phosphorus!$A$16:$A$22</c:f>
              <c:numCache>
                <c:formatCode>General</c:formatCode>
                <c:ptCount val="7"/>
                <c:pt idx="0">
                  <c:v>27.0</c:v>
                </c:pt>
                <c:pt idx="1">
                  <c:v>127.0</c:v>
                </c:pt>
                <c:pt idx="2">
                  <c:v>227.0</c:v>
                </c:pt>
                <c:pt idx="3">
                  <c:v>327.0</c:v>
                </c:pt>
                <c:pt idx="4">
                  <c:v>427.0</c:v>
                </c:pt>
                <c:pt idx="5">
                  <c:v>527.0</c:v>
                </c:pt>
                <c:pt idx="6">
                  <c:v>627.0</c:v>
                </c:pt>
              </c:numCache>
            </c:numRef>
          </c:xVal>
          <c:yVal>
            <c:numRef>
              <c:f>phosphorus!$C$16:$C$22</c:f>
              <c:numCache>
                <c:formatCode>0.00E+00</c:formatCode>
                <c:ptCount val="7"/>
                <c:pt idx="0">
                  <c:v>1.9E-5</c:v>
                </c:pt>
                <c:pt idx="1">
                  <c:v>3.39E-5</c:v>
                </c:pt>
                <c:pt idx="2">
                  <c:v>0.00014</c:v>
                </c:pt>
                <c:pt idx="3">
                  <c:v>0.000498</c:v>
                </c:pt>
                <c:pt idx="4">
                  <c:v>0.0013</c:v>
                </c:pt>
                <c:pt idx="5">
                  <c:v>0.0027</c:v>
                </c:pt>
                <c:pt idx="6">
                  <c:v>0.0048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119720"/>
        <c:axId val="2084233608"/>
      </c:scatterChart>
      <c:valAx>
        <c:axId val="2072119720"/>
        <c:scaling>
          <c:orientation val="minMax"/>
          <c:max val="7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/ °C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84233608"/>
        <c:crossesAt val="1.0E-5"/>
        <c:crossBetween val="midCat"/>
        <c:majorUnit val="100.0"/>
        <c:minorUnit val="100.0"/>
      </c:valAx>
      <c:valAx>
        <c:axId val="2084233608"/>
        <c:scaling>
          <c:logBase val="10.0"/>
          <c:orientation val="minMax"/>
          <c:max val="0.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Permitted</a:t>
                </a:r>
                <a:r>
                  <a:rPr lang="en-US" baseline="0"/>
                  <a:t> phosphorus / wt%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3508301107332"/>
              <c:y val="0.0394031533647793"/>
            </c:manualLayout>
          </c:layout>
          <c:overlay val="0"/>
        </c:title>
        <c:numFmt formatCode="0.E+0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2119720"/>
        <c:crosses val="autoZero"/>
        <c:crossBetween val="midCat"/>
        <c:majorUnit val="10.0"/>
        <c:minorUnit val="10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51556209088322"/>
          <c:h val="0.742837863931859"/>
        </c:manualLayout>
      </c:layout>
      <c:scatterChart>
        <c:scatterStyle val="smoothMarker"/>
        <c:varyColors val="0"/>
        <c:ser>
          <c:idx val="0"/>
          <c:order val="0"/>
          <c:tx>
            <c:v>phosphorus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carbon!$C$3:$C$6</c:f>
                <c:numCache>
                  <c:formatCode>General</c:formatCode>
                  <c:ptCount val="4"/>
                  <c:pt idx="0">
                    <c:v>4.202999999999999</c:v>
                  </c:pt>
                  <c:pt idx="1">
                    <c:v>3.792000000000002</c:v>
                  </c:pt>
                  <c:pt idx="2">
                    <c:v>7.268999999999998</c:v>
                  </c:pt>
                  <c:pt idx="3">
                    <c:v>7.901000000000003</c:v>
                  </c:pt>
                </c:numCache>
              </c:numRef>
            </c:plus>
            <c:minus>
              <c:numRef>
                <c:f>carbon!$C$3:$C$6</c:f>
                <c:numCache>
                  <c:formatCode>General</c:formatCode>
                  <c:ptCount val="4"/>
                  <c:pt idx="0">
                    <c:v>4.202999999999999</c:v>
                  </c:pt>
                  <c:pt idx="1">
                    <c:v>3.792000000000002</c:v>
                  </c:pt>
                  <c:pt idx="2">
                    <c:v>7.268999999999998</c:v>
                  </c:pt>
                  <c:pt idx="3">
                    <c:v>7.901000000000003</c:v>
                  </c:pt>
                </c:numCache>
              </c:numRef>
            </c:minus>
            <c:spPr>
              <a:ln>
                <a:solidFill>
                  <a:sysClr val="windowText" lastClr="000000"/>
                </a:solidFill>
              </a:ln>
            </c:spPr>
          </c:errBars>
          <c:xVal>
            <c:numRef>
              <c:f>carbon!$A$3:$A$6</c:f>
              <c:numCache>
                <c:formatCode>General</c:formatCode>
                <c:ptCount val="4"/>
                <c:pt idx="0">
                  <c:v>0.001</c:v>
                </c:pt>
                <c:pt idx="1">
                  <c:v>0.002</c:v>
                </c:pt>
                <c:pt idx="2">
                  <c:v>0.005</c:v>
                </c:pt>
                <c:pt idx="3">
                  <c:v>0.008</c:v>
                </c:pt>
              </c:numCache>
            </c:numRef>
          </c:xVal>
          <c:yVal>
            <c:numRef>
              <c:f>carbon!$B$3:$B$6</c:f>
              <c:numCache>
                <c:formatCode>General</c:formatCode>
                <c:ptCount val="4"/>
                <c:pt idx="0">
                  <c:v>27.797</c:v>
                </c:pt>
                <c:pt idx="1">
                  <c:v>39.492</c:v>
                </c:pt>
                <c:pt idx="2">
                  <c:v>47.709</c:v>
                </c:pt>
                <c:pt idx="3">
                  <c:v>51.186</c:v>
                </c:pt>
              </c:numCache>
            </c:numRef>
          </c:yVal>
          <c:smooth val="0"/>
        </c:ser>
        <c:ser>
          <c:idx val="1"/>
          <c:order val="1"/>
          <c:spPr>
            <a:ln w="3175" cmpd="sng">
              <a:solidFill>
                <a:sysClr val="windowText" lastClr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carbon!$F$4:$F$8</c:f>
                <c:numCache>
                  <c:formatCode>General</c:formatCode>
                  <c:ptCount val="5"/>
                  <c:pt idx="0">
                    <c:v>6.004999999999995</c:v>
                  </c:pt>
                  <c:pt idx="1">
                    <c:v>6.638000000000005</c:v>
                  </c:pt>
                  <c:pt idx="2">
                    <c:v>3.793000000000006</c:v>
                  </c:pt>
                  <c:pt idx="3">
                    <c:v>3.476999999999997</c:v>
                  </c:pt>
                  <c:pt idx="4">
                    <c:v>4.109000000000002</c:v>
                  </c:pt>
                </c:numCache>
              </c:numRef>
            </c:plus>
            <c:minus>
              <c:numRef>
                <c:f>carbon!$F$4:$F$8</c:f>
                <c:numCache>
                  <c:formatCode>General</c:formatCode>
                  <c:ptCount val="5"/>
                  <c:pt idx="0">
                    <c:v>6.004999999999995</c:v>
                  </c:pt>
                  <c:pt idx="1">
                    <c:v>6.638000000000005</c:v>
                  </c:pt>
                  <c:pt idx="2">
                    <c:v>3.793000000000006</c:v>
                  </c:pt>
                  <c:pt idx="3">
                    <c:v>3.476999999999997</c:v>
                  </c:pt>
                  <c:pt idx="4">
                    <c:v>4.109000000000002</c:v>
                  </c:pt>
                </c:numCache>
              </c:numRef>
            </c:minus>
          </c:errBars>
          <c:xVal>
            <c:numRef>
              <c:f>carbon!$D$4:$D$8</c:f>
              <c:numCache>
                <c:formatCode>General</c:formatCode>
                <c:ptCount val="5"/>
                <c:pt idx="0" formatCode="0.00E+00">
                  <c:v>0.0</c:v>
                </c:pt>
                <c:pt idx="1">
                  <c:v>0.001</c:v>
                </c:pt>
                <c:pt idx="2">
                  <c:v>0.002</c:v>
                </c:pt>
                <c:pt idx="3">
                  <c:v>0.005</c:v>
                </c:pt>
                <c:pt idx="4">
                  <c:v>0.008</c:v>
                </c:pt>
              </c:numCache>
            </c:numRef>
          </c:xVal>
          <c:yVal>
            <c:numRef>
              <c:f>carbon!$E$4:$E$8</c:f>
              <c:numCache>
                <c:formatCode>General</c:formatCode>
                <c:ptCount val="5"/>
                <c:pt idx="0">
                  <c:v>73.31</c:v>
                </c:pt>
                <c:pt idx="1">
                  <c:v>48.657</c:v>
                </c:pt>
                <c:pt idx="2">
                  <c:v>49.605</c:v>
                </c:pt>
                <c:pt idx="3">
                  <c:v>33.17</c:v>
                </c:pt>
                <c:pt idx="4">
                  <c:v>30.958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171096"/>
        <c:axId val="2079631816"/>
      </c:scatterChart>
      <c:valAx>
        <c:axId val="2084171096"/>
        <c:scaling>
          <c:orientation val="minMax"/>
          <c:max val="0.008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</a:t>
                </a:r>
                <a:r>
                  <a:rPr lang="en-US" baseline="0"/>
                  <a:t> carbon concentration / wt%</a:t>
                </a:r>
                <a:endParaRPr lang="en-US"/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79631816"/>
        <c:crossesAt val="1.0E-5"/>
        <c:crossBetween val="midCat"/>
        <c:majorUnit val="0.002"/>
        <c:minorUnit val="0.001"/>
      </c:valAx>
      <c:valAx>
        <c:axId val="2079631816"/>
        <c:scaling>
          <c:orientation val="minMax"/>
          <c:max val="80.0"/>
          <c:min val="2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Boundary concentration / at%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824202891798288"/>
              <c:y val="0.041789788209648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2084171096"/>
        <c:crosses val="autoZero"/>
        <c:crossBetween val="midCat"/>
        <c:majorUnit val="20.0"/>
        <c:minorUnit val="10.0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673100</xdr:colOff>
      <xdr:row>6</xdr:row>
      <xdr:rowOff>127000</xdr:rowOff>
    </xdr:from>
    <xdr:to>
      <xdr:col>14</xdr:col>
      <xdr:colOff>508000</xdr:colOff>
      <xdr:row>34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673100</xdr:colOff>
      <xdr:row>6</xdr:row>
      <xdr:rowOff>127000</xdr:rowOff>
    </xdr:from>
    <xdr:to>
      <xdr:col>14</xdr:col>
      <xdr:colOff>508000</xdr:colOff>
      <xdr:row>34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3</xdr:row>
      <xdr:rowOff>25400</xdr:rowOff>
    </xdr:from>
    <xdr:to>
      <xdr:col>14</xdr:col>
      <xdr:colOff>520700</xdr:colOff>
      <xdr:row>31</xdr:row>
      <xdr:rowOff>12700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2" workbookViewId="0">
      <selection activeCell="B16" sqref="B16:B22"/>
    </sheetView>
  </sheetViews>
  <sheetFormatPr baseColWidth="10" defaultRowHeight="15" x14ac:dyDescent="0"/>
  <cols>
    <col min="2" max="3" width="12.1640625" bestFit="1" customWidth="1"/>
  </cols>
  <sheetData>
    <row r="1" spans="1:7">
      <c r="A1" t="s">
        <v>0</v>
      </c>
      <c r="B1">
        <f>-34300-21.5*B2</f>
        <v>-40750</v>
      </c>
      <c r="D1" t="s">
        <v>4</v>
      </c>
      <c r="E1">
        <v>5.0000000000000001E-3</v>
      </c>
      <c r="F1" t="s">
        <v>7</v>
      </c>
      <c r="G1" s="1">
        <v>0.1</v>
      </c>
    </row>
    <row r="2" spans="1:7">
      <c r="A2" t="s">
        <v>1</v>
      </c>
      <c r="B2">
        <v>300</v>
      </c>
      <c r="D2" t="s">
        <v>8</v>
      </c>
      <c r="E2" s="1">
        <v>5.0000000000000003E-10</v>
      </c>
    </row>
    <row r="3" spans="1:7">
      <c r="A3" t="s">
        <v>2</v>
      </c>
      <c r="B3">
        <v>8.3143200000000004</v>
      </c>
      <c r="D3" t="s">
        <v>9</v>
      </c>
      <c r="E3" s="1">
        <v>3.0000000000000001E-5</v>
      </c>
    </row>
    <row r="4" spans="1:7">
      <c r="A4" t="s">
        <v>3</v>
      </c>
      <c r="B4" s="1">
        <v>1.0000000000000001E-5</v>
      </c>
      <c r="E4" t="s">
        <v>12</v>
      </c>
      <c r="F4" s="1">
        <f>(2*E2*G1)/E3</f>
        <v>3.3333333333333337E-6</v>
      </c>
    </row>
    <row r="5" spans="1:7">
      <c r="A5" t="s">
        <v>5</v>
      </c>
      <c r="B5">
        <f>EXP(-B1/(B3*B2))</f>
        <v>12450547.140402142</v>
      </c>
    </row>
    <row r="6" spans="1:7">
      <c r="A6" t="s">
        <v>6</v>
      </c>
      <c r="B6">
        <f>B5*((B4-(3*G1*E2/(2*E3)))/(1-B4))</f>
        <v>93.380037353389611</v>
      </c>
    </row>
    <row r="7" spans="1:7">
      <c r="A7" t="s">
        <v>10</v>
      </c>
      <c r="B7" s="1">
        <f>G1/(1-G1)</f>
        <v>0.11111111111111112</v>
      </c>
    </row>
    <row r="10" spans="1:7">
      <c r="A10" t="s">
        <v>3</v>
      </c>
      <c r="B10">
        <f>((G1/(1-G1))+G1*B5*F4)/B5</f>
        <v>3.4225752837939318E-7</v>
      </c>
      <c r="C10">
        <f>(B11/30.97)/((B11/30.97)+((100-B11)/55.805))</f>
        <v>3.4225747624827928E-7</v>
      </c>
    </row>
    <row r="11" spans="1:7">
      <c r="A11" t="s">
        <v>4</v>
      </c>
      <c r="B11">
        <f>B10*3097/55.805</f>
        <v>1.8994204200178849E-5</v>
      </c>
    </row>
    <row r="13" spans="1:7">
      <c r="A13" t="s">
        <v>13</v>
      </c>
      <c r="B13" t="s">
        <v>16</v>
      </c>
    </row>
    <row r="14" spans="1:7">
      <c r="B14" t="s">
        <v>11</v>
      </c>
      <c r="C14" t="s">
        <v>15</v>
      </c>
      <c r="D14" t="s">
        <v>11</v>
      </c>
      <c r="E14" t="s">
        <v>15</v>
      </c>
    </row>
    <row r="15" spans="1:7">
      <c r="A15" t="s">
        <v>14</v>
      </c>
      <c r="B15" t="s">
        <v>17</v>
      </c>
      <c r="C15" t="s">
        <v>17</v>
      </c>
      <c r="D15" t="s">
        <v>17</v>
      </c>
      <c r="E15" t="s">
        <v>17</v>
      </c>
    </row>
    <row r="16" spans="1:7">
      <c r="A16">
        <v>300</v>
      </c>
      <c r="B16" s="1">
        <f>2*0.000056</f>
        <v>1.12E-4</v>
      </c>
      <c r="C16" s="1">
        <f>2*0.000019</f>
        <v>3.8000000000000002E-5</v>
      </c>
    </row>
    <row r="17" spans="1:3">
      <c r="A17">
        <v>400</v>
      </c>
      <c r="B17" s="1">
        <f>2*0.0000709</f>
        <v>1.418E-4</v>
      </c>
      <c r="C17" s="1">
        <f>2*0.0000339</f>
        <v>6.7799999999999995E-5</v>
      </c>
    </row>
    <row r="18" spans="1:3">
      <c r="A18">
        <v>500</v>
      </c>
      <c r="B18" s="1">
        <f>2*0.000177</f>
        <v>3.5399999999999999E-4</v>
      </c>
      <c r="C18" s="1">
        <v>1.3999999999999999E-4</v>
      </c>
    </row>
    <row r="19" spans="1:3">
      <c r="A19">
        <v>600</v>
      </c>
      <c r="B19" s="1">
        <f>2*0.000535</f>
        <v>1.07E-3</v>
      </c>
      <c r="C19" s="1">
        <v>4.9799999999999996E-4</v>
      </c>
    </row>
    <row r="20" spans="1:3">
      <c r="A20">
        <v>700</v>
      </c>
      <c r="B20" s="1">
        <f>2*0.00134</f>
        <v>2.6800000000000001E-3</v>
      </c>
      <c r="C20" s="1">
        <v>1.2999999999999999E-3</v>
      </c>
    </row>
    <row r="21" spans="1:3">
      <c r="A21">
        <v>800</v>
      </c>
      <c r="B21" s="1">
        <f>2*0.00273</f>
        <v>5.4599999999999996E-3</v>
      </c>
      <c r="C21" s="1">
        <v>2.7000000000000001E-3</v>
      </c>
    </row>
    <row r="22" spans="1:3">
      <c r="A22">
        <v>900</v>
      </c>
      <c r="B22" s="1">
        <f>2*0.0048</f>
        <v>9.5999999999999992E-3</v>
      </c>
      <c r="C22" s="1">
        <v>4.7999999999999996E-3</v>
      </c>
    </row>
    <row r="26" spans="1:3">
      <c r="A26" t="s">
        <v>20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E35" sqref="E35"/>
    </sheetView>
  </sheetViews>
  <sheetFormatPr baseColWidth="10" defaultRowHeight="15" x14ac:dyDescent="0"/>
  <cols>
    <col min="2" max="3" width="12.1640625" bestFit="1" customWidth="1"/>
  </cols>
  <sheetData>
    <row r="1" spans="1:7">
      <c r="A1" t="s">
        <v>0</v>
      </c>
      <c r="B1">
        <f>-34300-21.5*B2</f>
        <v>-40750</v>
      </c>
      <c r="D1" t="s">
        <v>4</v>
      </c>
      <c r="E1">
        <v>5.0000000000000001E-3</v>
      </c>
      <c r="F1" t="s">
        <v>7</v>
      </c>
      <c r="G1" s="1">
        <v>0.1</v>
      </c>
    </row>
    <row r="2" spans="1:7">
      <c r="A2" t="s">
        <v>1</v>
      </c>
      <c r="B2">
        <v>300</v>
      </c>
      <c r="D2" t="s">
        <v>8</v>
      </c>
      <c r="E2" s="1">
        <v>5.0000000000000003E-10</v>
      </c>
    </row>
    <row r="3" spans="1:7">
      <c r="A3" t="s">
        <v>2</v>
      </c>
      <c r="B3">
        <v>8.3143200000000004</v>
      </c>
      <c r="D3" t="s">
        <v>9</v>
      </c>
      <c r="E3" s="1">
        <v>3.0000000000000001E-5</v>
      </c>
    </row>
    <row r="4" spans="1:7">
      <c r="A4" t="s">
        <v>3</v>
      </c>
      <c r="B4" s="1">
        <v>1.0000000000000001E-5</v>
      </c>
      <c r="E4" t="s">
        <v>12</v>
      </c>
      <c r="F4" s="1">
        <f>(2*E2*G1)/E3</f>
        <v>3.3333333333333337E-6</v>
      </c>
    </row>
    <row r="5" spans="1:7">
      <c r="A5" t="s">
        <v>5</v>
      </c>
      <c r="B5">
        <f>EXP(-B1/(B3*B2))</f>
        <v>12450547.140402142</v>
      </c>
    </row>
    <row r="6" spans="1:7">
      <c r="A6" t="s">
        <v>6</v>
      </c>
      <c r="B6">
        <f>B5*((B4-(3*G1*E2/(2*E3)))/(1-B4))</f>
        <v>93.380037353389611</v>
      </c>
    </row>
    <row r="7" spans="1:7">
      <c r="A7" t="s">
        <v>10</v>
      </c>
      <c r="B7" s="1">
        <f>G1/(1-G1)</f>
        <v>0.11111111111111112</v>
      </c>
    </row>
    <row r="10" spans="1:7">
      <c r="A10" t="s">
        <v>3</v>
      </c>
      <c r="B10">
        <f>((G1/(1-G1))+G1*B5*F4)/B5</f>
        <v>3.4225752837939318E-7</v>
      </c>
      <c r="C10">
        <f>(B11/30.97)/((B11/30.97)+((100-B11)/55.805))</f>
        <v>3.4225747624827928E-7</v>
      </c>
    </row>
    <row r="11" spans="1:7">
      <c r="A11" t="s">
        <v>4</v>
      </c>
      <c r="B11">
        <f>B10*3097/55.805</f>
        <v>1.8994204200178849E-5</v>
      </c>
    </row>
    <row r="13" spans="1:7">
      <c r="A13" t="s">
        <v>13</v>
      </c>
      <c r="B13" t="s">
        <v>16</v>
      </c>
    </row>
    <row r="14" spans="1:7">
      <c r="B14" t="s">
        <v>11</v>
      </c>
      <c r="C14" t="s">
        <v>15</v>
      </c>
      <c r="D14" t="s">
        <v>11</v>
      </c>
    </row>
    <row r="15" spans="1:7">
      <c r="A15" t="s">
        <v>14</v>
      </c>
      <c r="B15" t="s">
        <v>17</v>
      </c>
      <c r="C15" t="s">
        <v>17</v>
      </c>
      <c r="D15" t="s">
        <v>21</v>
      </c>
      <c r="E15" t="s">
        <v>17</v>
      </c>
    </row>
    <row r="16" spans="1:7">
      <c r="A16">
        <f>300-273</f>
        <v>27</v>
      </c>
      <c r="B16" s="1">
        <v>5.5999999999999999E-5</v>
      </c>
      <c r="C16" s="1">
        <v>1.9000000000000001E-5</v>
      </c>
      <c r="D16" s="1">
        <f>2*0.000056</f>
        <v>1.12E-4</v>
      </c>
    </row>
    <row r="17" spans="1:4">
      <c r="A17">
        <f>400-273</f>
        <v>127</v>
      </c>
      <c r="B17" s="1">
        <v>7.0900000000000002E-5</v>
      </c>
      <c r="C17" s="1">
        <v>3.3899999999999997E-5</v>
      </c>
      <c r="D17" s="1">
        <f>2*0.0000709</f>
        <v>1.418E-4</v>
      </c>
    </row>
    <row r="18" spans="1:4">
      <c r="A18">
        <f>500-273</f>
        <v>227</v>
      </c>
      <c r="B18" s="1">
        <v>1.7699999999999999E-4</v>
      </c>
      <c r="C18" s="1">
        <v>1.3999999999999999E-4</v>
      </c>
      <c r="D18" s="1">
        <f>2*0.000177</f>
        <v>3.5399999999999999E-4</v>
      </c>
    </row>
    <row r="19" spans="1:4">
      <c r="A19">
        <f>600-273</f>
        <v>327</v>
      </c>
      <c r="B19" s="1">
        <v>5.3499999999999999E-4</v>
      </c>
      <c r="C19" s="1">
        <v>4.9799999999999996E-4</v>
      </c>
      <c r="D19" s="1">
        <f>2*0.000535</f>
        <v>1.07E-3</v>
      </c>
    </row>
    <row r="20" spans="1:4">
      <c r="A20">
        <f>700-273</f>
        <v>427</v>
      </c>
      <c r="B20" s="1">
        <v>1.34E-3</v>
      </c>
      <c r="C20" s="1">
        <v>1.2999999999999999E-3</v>
      </c>
      <c r="D20" s="1">
        <f>2*0.00134</f>
        <v>2.6800000000000001E-3</v>
      </c>
    </row>
    <row r="21" spans="1:4">
      <c r="A21">
        <f>800-273</f>
        <v>527</v>
      </c>
      <c r="B21" s="1">
        <v>2.7299999999999998E-3</v>
      </c>
      <c r="C21" s="1">
        <v>2.7000000000000001E-3</v>
      </c>
      <c r="D21" s="1">
        <f>2*0.00273</f>
        <v>5.4599999999999996E-3</v>
      </c>
    </row>
    <row r="22" spans="1:4">
      <c r="A22">
        <f>900-273</f>
        <v>627</v>
      </c>
      <c r="B22" s="1">
        <v>4.7999999999999996E-3</v>
      </c>
      <c r="C22" s="1">
        <v>4.7999999999999996E-3</v>
      </c>
      <c r="D22" s="1">
        <f>2*0.0048</f>
        <v>9.5999999999999992E-3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workbookViewId="0">
      <selection activeCell="D24" sqref="D24"/>
    </sheetView>
  </sheetViews>
  <sheetFormatPr baseColWidth="10" defaultRowHeight="15" x14ac:dyDescent="0"/>
  <sheetData>
    <row r="2" spans="1:6">
      <c r="A2" t="s">
        <v>18</v>
      </c>
      <c r="B2" t="s">
        <v>19</v>
      </c>
    </row>
    <row r="3" spans="1:6">
      <c r="A3">
        <v>1E-3</v>
      </c>
      <c r="B3">
        <v>27.797000000000001</v>
      </c>
      <c r="C3">
        <f>B7-B3</f>
        <v>4.2029999999999994</v>
      </c>
      <c r="D3" t="s">
        <v>18</v>
      </c>
      <c r="E3" t="s">
        <v>19</v>
      </c>
    </row>
    <row r="4" spans="1:6">
      <c r="A4">
        <v>2E-3</v>
      </c>
      <c r="B4">
        <v>39.491999999999997</v>
      </c>
      <c r="C4">
        <f t="shared" ref="C4:C6" si="0">B8-B4</f>
        <v>3.7920000000000016</v>
      </c>
      <c r="D4" s="1">
        <v>0</v>
      </c>
      <c r="E4">
        <v>73.31</v>
      </c>
      <c r="F4">
        <f>E9-E4</f>
        <v>6.0049999999999955</v>
      </c>
    </row>
    <row r="5" spans="1:6">
      <c r="A5">
        <v>5.0000000000000001E-3</v>
      </c>
      <c r="B5">
        <v>47.709000000000003</v>
      </c>
      <c r="C5">
        <f t="shared" si="0"/>
        <v>7.2689999999999984</v>
      </c>
      <c r="D5">
        <v>1E-3</v>
      </c>
      <c r="E5">
        <v>48.656999999999996</v>
      </c>
      <c r="F5">
        <f t="shared" ref="F5:F8" si="1">E10-E5</f>
        <v>6.6380000000000052</v>
      </c>
    </row>
    <row r="6" spans="1:6">
      <c r="A6">
        <v>8.0000000000000002E-3</v>
      </c>
      <c r="B6">
        <v>51.186</v>
      </c>
      <c r="C6">
        <f t="shared" si="0"/>
        <v>7.9010000000000034</v>
      </c>
      <c r="D6">
        <v>2E-3</v>
      </c>
      <c r="E6">
        <v>49.604999999999997</v>
      </c>
      <c r="F6">
        <f t="shared" si="1"/>
        <v>3.7930000000000064</v>
      </c>
    </row>
    <row r="7" spans="1:6">
      <c r="A7">
        <v>1E-3</v>
      </c>
      <c r="B7">
        <v>32</v>
      </c>
      <c r="D7">
        <v>5.0000000000000001E-3</v>
      </c>
      <c r="E7">
        <v>33.17</v>
      </c>
      <c r="F7">
        <f t="shared" si="1"/>
        <v>3.4769999999999968</v>
      </c>
    </row>
    <row r="8" spans="1:6">
      <c r="A8">
        <v>2E-3</v>
      </c>
      <c r="B8">
        <v>43.283999999999999</v>
      </c>
      <c r="D8">
        <v>8.0000000000000002E-3</v>
      </c>
      <c r="E8">
        <v>30.957999999999998</v>
      </c>
      <c r="F8">
        <f t="shared" si="1"/>
        <v>4.1090000000000018</v>
      </c>
    </row>
    <row r="9" spans="1:6">
      <c r="A9">
        <v>5.0000000000000001E-3</v>
      </c>
      <c r="B9">
        <v>54.978000000000002</v>
      </c>
      <c r="D9" s="1">
        <v>3.1559999999999997E-4</v>
      </c>
      <c r="E9">
        <v>79.314999999999998</v>
      </c>
    </row>
    <row r="10" spans="1:6">
      <c r="A10">
        <v>8.0000000000000002E-3</v>
      </c>
      <c r="B10">
        <v>59.087000000000003</v>
      </c>
      <c r="D10">
        <v>1E-3</v>
      </c>
      <c r="E10">
        <v>55.295000000000002</v>
      </c>
    </row>
    <row r="11" spans="1:6">
      <c r="D11">
        <v>2E-3</v>
      </c>
      <c r="E11">
        <v>53.398000000000003</v>
      </c>
    </row>
    <row r="12" spans="1:6">
      <c r="D12">
        <v>5.0000000000000001E-3</v>
      </c>
      <c r="E12">
        <v>36.646999999999998</v>
      </c>
    </row>
    <row r="13" spans="1:6">
      <c r="D13">
        <v>8.0000000000000002E-3</v>
      </c>
      <c r="E13">
        <v>35.067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P-C</vt:lpstr>
      <vt:lpstr>phosphorus</vt:lpstr>
      <vt:lpstr>carbon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2014-09-15T01:58:49Z</dcterms:created>
  <dcterms:modified xsi:type="dcterms:W3CDTF">2014-09-16T05:51:31Z</dcterms:modified>
</cp:coreProperties>
</file>